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<sst xmlns="http://schemas.openxmlformats.org/spreadsheetml/2006/main" count="2033" uniqueCount="287">
  <si>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</si>
  <si>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</si>
  <si>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</si>
  <si>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</si>
  <si>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</si>
  <si>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</si>
  <si>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</si>
  <si>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</si>
  <si>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</si>
  <si>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</si>
  <si>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</si>
  <si>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</si>
  <si>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</si>
  <si>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</si>
  <si>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</si>
  <si>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</si>
  <si>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</si>
  <si>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</si>
  <si>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</si>
  <si>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</si>
  <si>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</si>
  <si>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</si>
  <si>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</si>
  <si>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</si>
  <si>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</si>
  <si>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</si>
  <si>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</si>
  <si>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</si>
  <si>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</si>
  <si>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</si>
  <si>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</si>
  <si>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</si>
  <si>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</si>
  <si>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</si>
  <si>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</si>
  <si>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</si>
  <si>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</si>
  <si>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</si>
  <si>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</si>
  <si>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</si>
  <si>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</si>
  <si>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</si>
  <si>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</si>
  <si>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</si>
  <si>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</si>
  <si>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</si>
  <si>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</si>
  <si>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</si>
  <si>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</si>
  <si>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</si>
  <si>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</si>
  <si>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</si>
  <si>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</si>
  <si>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</si>
  <si>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</si>
  <si>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</si>
  <si>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</si>
  <si>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</si>
  <si>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</si>
  <si>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</si>
  <si>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</si>
  <si>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</si>
  <si>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</si>
  <si>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</si>
  <si>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</si>
  <si>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</si>
  <si>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</si>
  <si>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</si>
  <si>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</si>
  <si>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</si>
  <si>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</si>
  <si>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</si>
  <si>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</si>
  <si>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</si>
  <si>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</si>
  <si>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</si>
  <si>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</si>
  <si>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</si>
  <si>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</si>
  <si>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</si>
  <si>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</si>
  <si>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</si>
  <si>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</si>
  <si>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</si>
  <si>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</si>
  <si>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</si>
  <si>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</si>
  <si>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</si>
  <si>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</si>
  <si>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</si>
  <si>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</si>
  <si>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</si>
  <si>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</si>
  <si>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</si>
  <si>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</si>
  <si>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</si>
  <si>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</si>
  <si>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</si>
  <si>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</si>
  <si>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</si>
  <si>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</si>
  <si>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</si>
  <si>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</si>
  <si>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</si>
  <si>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</si>
  <si>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</si>
  <si>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</si>
  <si>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</si>
  <si>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</si>
  <si>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</si>
  <si>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</si>
  <si>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</si>
  <si>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</si>
  <si>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</si>
  <si>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</si>
  <si>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</si>
  <si>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</si>
  <si>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</si>
  <si>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</si>
  <si>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</si>
  <si>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</si>
  <si>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</si>
  <si>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</si>
  <si>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</si>
  <si>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</si>
  <si>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</si>
  <si>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</si>
  <si>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</si>
  <si>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</si>
  <si>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</si>
  <si>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</si>
  <si>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</si>
  <si>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</si>
  <si>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</si>
  <si>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</si>
  <si>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</si>
  <si>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</si>
  <si>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</si>
  <si>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</si>
  <si>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</si>
  <si>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</si>
  <si>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</si>
  <si>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</si>
  <si>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</si>
  <si>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</si>
  <si>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</si>
  <si>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</si>
  <si>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</si>
  <si>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</si>
  <si>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</si>
  <si>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</si>
  <si>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</si>
  <si>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</si>
  <si>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</si>
  <si>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</si>
  <si>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</si>
  <si>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</si>
  <si>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</si>
  <si>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</si>
  <si>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</si>
  <si>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</si>
  <si>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</si>
  <si>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</si>
  <si>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</si>
  <si>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</si>
  <si>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</si>
  <si>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</si>
  <si>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</si>
  <si>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</si>
  <si>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</si>
  <si>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</si>
  <si>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</si>
  <si>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</si>
  <si>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</si>
  <si>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</si>
  <si>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</si>
  <si>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</si>
  <si>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</si>
  <si>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</si>
  <si>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</si>
  <si>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</si>
  <si>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</si>
  <si>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</si>
  <si>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</si>
  <si>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</si>
  <si>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</si>
  <si>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</si>
  <si>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</si>
  <si>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</si>
  <si>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</si>
  <si>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</si>
  <si>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</si>
  <si>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</si>
  <si>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</si>
  <si>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</si>
  <si>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</si>
  <si>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</si>
  <si>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</si>
  <si>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</si>
  <si>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</si>
  <si>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</si>
  <si>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</si>
  <si>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</si>
  <si>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</si>
  <si>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</si>
  <si>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</si>
  <si>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</si>
  <si>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</si>
  <si>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</si>
  <si>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</si>
  <si>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</si>
  <si>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</si>
  <si>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</si>
  <si>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</si>
  <si>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</si>
  <si>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</si>
  <si>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</si>
  <si>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</si>
  <si>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</si>
  <si>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</si>
  <si>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</si>
  <si>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</si>
  <si>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</si>
  <si>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</si>
  <si>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</si>
  <si>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</si>
  <si>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</si>
  <si>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</si>
  <si>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</si>
  <si>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</si>
  <si>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</si>
  <si>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</si>
  <si>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</si>
  <si>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</si>
  <si>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</si>
  <si>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</si>
  <si>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</si>
  <si>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</si>
  <si>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</si>
  <si>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</si>
  <si>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</si>
  <si>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</si>
  <si>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</si>
  <si>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</si>
  <si>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</si>
  <si>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</si>
  <si>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</si>
  <si>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</si>
  <si>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</si>
  <si>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</si>
  <si>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</si>
  <si>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</si>
  <si>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</si>
  <si>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</si>
  <si>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</si>
  <si>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</si>
  <si>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</si>
  <si>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</si>
  <si>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</si>
  <si>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</si>
  <si>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</si>
  <si>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</si>
  <si>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</si>
  <si>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</si>
  <si>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</si>
  <si>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</si>
  <si>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</si>
  <si>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</si>
  <si>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</si>
  <si>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</si>
  <si>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</si>
  <si>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</si>
  <si>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</si>
  <si>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</si>
  <si>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</si>
  <si>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</si>
  <si>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</si>
  <si>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</si>
  <si>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</si>
  <si>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</si>
  <si>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</si>
  <si>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</si>
  <si>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</si>
  <si>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</si>
  <si>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</si>
  <si>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</si>
  <si>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06.10.14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</si>
</sst>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  <sheetName val="жовтен"/>
    </sheetNames>
    <sheetDataSet>
      <sheetData sheetId="12">
        <row r="8">
          <cell r="G8">
            <v>0</v>
          </cell>
        </row>
        <row r="9">
          <cell r="G9">
            <v>9020596.530000001</v>
          </cell>
        </row>
      </sheetData>
      <sheetData sheetId="13">
        <row r="52">
          <cell r="B52">
            <v>17423205.409999996</v>
          </cell>
        </row>
      </sheetData>
      <sheetData sheetId="21">
        <row r="28">
          <cell r="C28">
            <v>4870376.3</v>
          </cell>
        </row>
      </sheetData>
      <sheetData sheetId="22">
        <row r="28">
          <cell r="C28">
            <v>3219411</v>
          </cell>
        </row>
      </sheetData>
      <sheetData sheetId="23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49" sqref="G14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282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274</v>
      </c>
      <c r="L4" s="196"/>
      <c r="M4" s="215"/>
      <c r="N4" s="200" t="s">
        <v>286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278</v>
      </c>
      <c r="F5" s="218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352570.8</v>
      </c>
      <c r="G8" s="22">
        <f aca="true" t="shared" si="0" ref="G8:G30">F8-E8</f>
        <v>-38432.83999999991</v>
      </c>
      <c r="H8" s="51">
        <f>F8/E8*100</f>
        <v>90.17072066132175</v>
      </c>
      <c r="I8" s="36">
        <f aca="true" t="shared" si="1" ref="I8:I17">F8-D8</f>
        <v>-135905.5</v>
      </c>
      <c r="J8" s="36">
        <f aca="true" t="shared" si="2" ref="J8:J14">F8/D8*100</f>
        <v>72.17766757568381</v>
      </c>
      <c r="K8" s="36">
        <f>F8-344287.2</f>
        <v>8283.599999999977</v>
      </c>
      <c r="L8" s="136">
        <f>F8/344287.2</f>
        <v>1.0240601451346434</v>
      </c>
      <c r="M8" s="22">
        <f>M10+M19+M33+M56+M68+M30</f>
        <v>39644.799999999974</v>
      </c>
      <c r="N8" s="22">
        <f>N10+N19+N33+N56+N68+N30</f>
        <v>4280.7500000000055</v>
      </c>
      <c r="O8" s="36">
        <f aca="true" t="shared" si="3" ref="O8:O71">N8-M8</f>
        <v>-35364.04999999997</v>
      </c>
      <c r="P8" s="36">
        <f>F8/M8*100</f>
        <v>889.3241988861092</v>
      </c>
      <c r="Q8" s="36">
        <f>N8-37510.4</f>
        <v>-33229.649999999994</v>
      </c>
      <c r="R8" s="134">
        <f>N8/37510.4</f>
        <v>0.11412168358641885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286476.12</v>
      </c>
      <c r="G9" s="22">
        <f t="shared" si="0"/>
        <v>286476.12</v>
      </c>
      <c r="H9" s="20"/>
      <c r="I9" s="56">
        <f t="shared" si="1"/>
        <v>-100537.08000000002</v>
      </c>
      <c r="J9" s="56">
        <f t="shared" si="2"/>
        <v>74.02231241725087</v>
      </c>
      <c r="K9" s="56"/>
      <c r="L9" s="135"/>
      <c r="M9" s="20">
        <f>M10+M17</f>
        <v>32246.599999999977</v>
      </c>
      <c r="N9" s="20">
        <f>N10+N17</f>
        <v>3862.4400000000023</v>
      </c>
      <c r="O9" s="36">
        <f t="shared" si="3"/>
        <v>-28384.159999999974</v>
      </c>
      <c r="P9" s="56">
        <f>F9/M9*100</f>
        <v>888.3917064124596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286476.12</v>
      </c>
      <c r="G10" s="49">
        <f t="shared" si="0"/>
        <v>-33229.97999999998</v>
      </c>
      <c r="H10" s="40">
        <f aca="true" t="shared" si="4" ref="H10:H17">F10/E10*100</f>
        <v>89.60608508877372</v>
      </c>
      <c r="I10" s="56">
        <f t="shared" si="1"/>
        <v>-100537.08000000002</v>
      </c>
      <c r="J10" s="56">
        <f t="shared" si="2"/>
        <v>74.02231241725087</v>
      </c>
      <c r="K10" s="141">
        <f>F10-272674.4</f>
        <v>13801.719999999972</v>
      </c>
      <c r="L10" s="142">
        <f>F10/272674.4</f>
        <v>1.050616119445023</v>
      </c>
      <c r="M10" s="40">
        <f>E10-вересень!E10</f>
        <v>32246.599999999977</v>
      </c>
      <c r="N10" s="40">
        <f>F10-вересень!F10</f>
        <v>3862.4400000000023</v>
      </c>
      <c r="O10" s="53">
        <f t="shared" si="3"/>
        <v>-28384.159999999974</v>
      </c>
      <c r="P10" s="56">
        <f aca="true" t="shared" si="5" ref="P10:P17">N10/M10*100</f>
        <v>11.977820917554114</v>
      </c>
      <c r="Q10" s="141">
        <f>N10-29967.1</f>
        <v>-26104.659999999996</v>
      </c>
      <c r="R10" s="142">
        <f>N10/29967.1</f>
        <v>0.1288893486523555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-392.37</v>
      </c>
      <c r="G19" s="49">
        <f t="shared" si="0"/>
        <v>-1459.9699999999998</v>
      </c>
      <c r="H19" s="40">
        <f aca="true" t="shared" si="6" ref="H19:H29">F19/E19*100</f>
        <v>-36.75252903709254</v>
      </c>
      <c r="I19" s="56">
        <f aca="true" t="shared" si="7" ref="I19:I29">F19-D19</f>
        <v>-1392.37</v>
      </c>
      <c r="J19" s="56">
        <f aca="true" t="shared" si="8" ref="J19:J29">F19/D19*100</f>
        <v>-39.237</v>
      </c>
      <c r="K19" s="167">
        <f>F19-6479.1</f>
        <v>-6871.47</v>
      </c>
      <c r="L19" s="168">
        <f>F19/6479.1</f>
        <v>-0.06055933694494606</v>
      </c>
      <c r="M19" s="40">
        <f>E19-вересень!E19</f>
        <v>11</v>
      </c>
      <c r="N19" s="40">
        <f>F19-вересень!F19</f>
        <v>12.100000000000023</v>
      </c>
      <c r="O19" s="53">
        <f t="shared" si="3"/>
        <v>1.1000000000000227</v>
      </c>
      <c r="P19" s="56">
        <f aca="true" t="shared" si="9" ref="P19:P29">N19/M19*100</f>
        <v>110.00000000000021</v>
      </c>
      <c r="Q19" s="56">
        <f>N19-362</f>
        <v>-349.9</v>
      </c>
      <c r="R19" s="135">
        <f>N19/362</f>
        <v>0.03342541436464095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F29-2860</f>
        <v>-2753.39</v>
      </c>
      <c r="L29" s="149">
        <f>F29/2860</f>
        <v>0.03727622377622378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N29-361.95</f>
        <v>-350.95</v>
      </c>
      <c r="R29" s="149">
        <f>N29/361.95</f>
        <v>0.030390937974858406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61553.01</v>
      </c>
      <c r="G33" s="49">
        <f aca="true" t="shared" si="14" ref="G33:G72">F33-E33</f>
        <v>-2982.8299999999945</v>
      </c>
      <c r="H33" s="40">
        <f aca="true" t="shared" si="15" ref="H33:H67">F33/E33*100</f>
        <v>95.37802560561698</v>
      </c>
      <c r="I33" s="56">
        <f>F33-D33</f>
        <v>-32012.989999999998</v>
      </c>
      <c r="J33" s="56">
        <f aca="true" t="shared" si="16" ref="J33:J72">F33/D33*100</f>
        <v>65.78565932069341</v>
      </c>
      <c r="K33" s="141">
        <f>F33-60413.2</f>
        <v>1139.810000000005</v>
      </c>
      <c r="L33" s="142">
        <f>F33/60413.2</f>
        <v>1.0188669032595525</v>
      </c>
      <c r="M33" s="40">
        <f>E33-вересень!E33</f>
        <v>6833.699999999997</v>
      </c>
      <c r="N33" s="40">
        <f>F33-вересень!F33</f>
        <v>320.5500000000029</v>
      </c>
      <c r="O33" s="53">
        <f t="shared" si="3"/>
        <v>-6513.149999999994</v>
      </c>
      <c r="P33" s="56">
        <f aca="true" t="shared" si="17" ref="P33:P67">N33/M33*100</f>
        <v>4.6907239123754785</v>
      </c>
      <c r="Q33" s="141">
        <f>N33-6624.9</f>
        <v>-6304.349999999997</v>
      </c>
      <c r="R33" s="142">
        <f>N33/6624.9</f>
        <v>0.04838563600960059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45711.21</v>
      </c>
      <c r="G55" s="144">
        <f t="shared" si="14"/>
        <v>-1694.3300000000017</v>
      </c>
      <c r="H55" s="146">
        <f t="shared" si="15"/>
        <v>96.42588186950302</v>
      </c>
      <c r="I55" s="145">
        <f t="shared" si="18"/>
        <v>-24554.79</v>
      </c>
      <c r="J55" s="145">
        <f t="shared" si="16"/>
        <v>65.05452139014601</v>
      </c>
      <c r="K55" s="148">
        <f>F55-43813.51</f>
        <v>1897.699999999997</v>
      </c>
      <c r="L55" s="149">
        <f>F55/43813.51</f>
        <v>1.0433131241938844</v>
      </c>
      <c r="M55" s="40">
        <f>E55-вересень!E55</f>
        <v>4933.700000000004</v>
      </c>
      <c r="N55" s="40">
        <f>F55-вересень!F55</f>
        <v>289.8099999999977</v>
      </c>
      <c r="O55" s="148">
        <f t="shared" si="3"/>
        <v>-4643.890000000007</v>
      </c>
      <c r="P55" s="148">
        <f t="shared" si="17"/>
        <v>5.874090439224059</v>
      </c>
      <c r="Q55" s="160">
        <f>N55-4961.43</f>
        <v>-4671.620000000003</v>
      </c>
      <c r="R55" s="161">
        <f>N55/7961.43</f>
        <v>0.036401751946572115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5666.5</v>
      </c>
      <c r="F56" s="169">
        <f>1.51+4927.68</f>
        <v>4929.1900000000005</v>
      </c>
      <c r="G56" s="49">
        <f t="shared" si="14"/>
        <v>-737.3099999999995</v>
      </c>
      <c r="H56" s="40">
        <f t="shared" si="15"/>
        <v>86.9882643607165</v>
      </c>
      <c r="I56" s="56">
        <f t="shared" si="18"/>
        <v>-1930.8099999999995</v>
      </c>
      <c r="J56" s="56">
        <f t="shared" si="16"/>
        <v>71.85408163265306</v>
      </c>
      <c r="K56" s="56">
        <f>F56-4694.5</f>
        <v>234.6900000000005</v>
      </c>
      <c r="L56" s="135">
        <f>F56/4694.5</f>
        <v>1.0499925444669296</v>
      </c>
      <c r="M56" s="40">
        <f>E56-вересень!E56</f>
        <v>553</v>
      </c>
      <c r="N56" s="40">
        <f>F56-вересень!F56</f>
        <v>85.65999999999985</v>
      </c>
      <c r="O56" s="53">
        <f t="shared" si="3"/>
        <v>-467.34000000000015</v>
      </c>
      <c r="P56" s="56">
        <f t="shared" si="17"/>
        <v>15.490054249547894</v>
      </c>
      <c r="Q56" s="56">
        <f>N56-556.2</f>
        <v>-470.5400000000002</v>
      </c>
      <c r="R56" s="135">
        <f>N56/556.2</f>
        <v>0.15400934915497994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10409.32</v>
      </c>
      <c r="G74" s="50">
        <f aca="true" t="shared" si="24" ref="G74:G92">F74-E74</f>
        <v>-3287.1800000000003</v>
      </c>
      <c r="H74" s="51">
        <f aca="true" t="shared" si="25" ref="H74:H87">F74/E74*100</f>
        <v>75.99985397729347</v>
      </c>
      <c r="I74" s="36">
        <f aca="true" t="shared" si="26" ref="I74:I92">F74-D74</f>
        <v>-7948.98</v>
      </c>
      <c r="J74" s="36">
        <f aca="true" t="shared" si="27" ref="J74:J92">F74/D74*100</f>
        <v>56.70089278419026</v>
      </c>
      <c r="K74" s="36">
        <f>F74-14585.4</f>
        <v>-4176.08</v>
      </c>
      <c r="L74" s="136">
        <f>F74/14585.4</f>
        <v>0.713680804091763</v>
      </c>
      <c r="M74" s="22">
        <f>M77+M86+M88+M89+M94+M95+M96+M97+M99+M87+M104</f>
        <v>1516.5</v>
      </c>
      <c r="N74" s="22">
        <f>N77+N86+N88+N89+N94+N95+N96+N97+N99+N32+N104+N87+N103</f>
        <v>649.887</v>
      </c>
      <c r="O74" s="55">
        <f aca="true" t="shared" si="28" ref="O74:O92">N74-M74</f>
        <v>-866.613</v>
      </c>
      <c r="P74" s="36">
        <f>N74/M74*100</f>
        <v>42.85440158259149</v>
      </c>
      <c r="Q74" s="36">
        <f>N74-1622.9</f>
        <v>-973.0130000000001</v>
      </c>
      <c r="R74" s="136">
        <f>N74/1622.9</f>
        <v>0.40044796352209006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275.56</v>
      </c>
      <c r="G87" s="49">
        <f t="shared" si="24"/>
        <v>55.56</v>
      </c>
      <c r="H87" s="40">
        <f t="shared" si="25"/>
        <v>125.25454545454546</v>
      </c>
      <c r="I87" s="56">
        <f t="shared" si="26"/>
        <v>-224.44</v>
      </c>
      <c r="J87" s="56">
        <f t="shared" si="27"/>
        <v>55.11200000000001</v>
      </c>
      <c r="K87" s="56">
        <f>F87-210.3</f>
        <v>65.25999999999999</v>
      </c>
      <c r="L87" s="135">
        <f>F87/210.3</f>
        <v>1.3103185924869234</v>
      </c>
      <c r="M87" s="40">
        <f>E87-вересень!E87</f>
        <v>0</v>
      </c>
      <c r="N87" s="40">
        <f>F87-вересень!F87</f>
        <v>3.3100000000000023</v>
      </c>
      <c r="O87" s="53">
        <f t="shared" si="28"/>
        <v>3.3100000000000023</v>
      </c>
      <c r="P87" s="56" t="e">
        <f t="shared" si="29"/>
        <v>#DIV/0!</v>
      </c>
      <c r="Q87" s="56">
        <f>N87-12.4</f>
        <v>-9.089999999999998</v>
      </c>
      <c r="R87" s="135">
        <f>N87/12.4</f>
        <v>0.26693548387096794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99.08</v>
      </c>
      <c r="G89" s="49">
        <f t="shared" si="24"/>
        <v>-44.92</v>
      </c>
      <c r="H89" s="40">
        <f>F89/E89*100</f>
        <v>68.80555555555556</v>
      </c>
      <c r="I89" s="56">
        <f t="shared" si="26"/>
        <v>-75.92</v>
      </c>
      <c r="J89" s="56">
        <f t="shared" si="27"/>
        <v>56.61714285714285</v>
      </c>
      <c r="K89" s="56">
        <f>F89-123.2</f>
        <v>-24.120000000000005</v>
      </c>
      <c r="L89" s="135">
        <f>F89/123.2</f>
        <v>0.8042207792207792</v>
      </c>
      <c r="M89" s="40">
        <f>E89-вересень!E89</f>
        <v>15</v>
      </c>
      <c r="N89" s="40">
        <f>F89-вересень!F89</f>
        <v>1.1299999999999955</v>
      </c>
      <c r="O89" s="53">
        <f t="shared" si="28"/>
        <v>-13.870000000000005</v>
      </c>
      <c r="P89" s="56">
        <f>N89/M89*100</f>
        <v>7.533333333333303</v>
      </c>
      <c r="Q89" s="56">
        <f>N89-14.8</f>
        <v>-13.670000000000005</v>
      </c>
      <c r="R89" s="135">
        <f>N89/14.8</f>
        <v>0.07635135135135104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5936.01</v>
      </c>
      <c r="G95" s="49">
        <f t="shared" si="31"/>
        <v>104.51000000000022</v>
      </c>
      <c r="H95" s="40">
        <f>F95/E95*100</f>
        <v>101.79216325130756</v>
      </c>
      <c r="I95" s="56">
        <f t="shared" si="32"/>
        <v>-1063.9899999999998</v>
      </c>
      <c r="J95" s="56">
        <f>F95/D95*100</f>
        <v>84.80014285714286</v>
      </c>
      <c r="K95" s="56">
        <f>F95-5517.5</f>
        <v>418.5100000000002</v>
      </c>
      <c r="L95" s="135">
        <f>F95/5517.5</f>
        <v>1.0758513819664703</v>
      </c>
      <c r="M95" s="40">
        <f>E95-вересень!E95</f>
        <v>575</v>
      </c>
      <c r="N95" s="40">
        <f>F95-вересень!F95</f>
        <v>570.5900000000001</v>
      </c>
      <c r="O95" s="53">
        <f t="shared" si="33"/>
        <v>-4.4099999999998545</v>
      </c>
      <c r="P95" s="56">
        <f>N95/M95*100</f>
        <v>99.2330434782609</v>
      </c>
      <c r="Q95" s="56">
        <f>N95-569.2</f>
        <v>1.3900000000001</v>
      </c>
      <c r="R95" s="135">
        <f>N95/569.2</f>
        <v>1.0024420238931835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790.89</v>
      </c>
      <c r="G96" s="49">
        <f t="shared" si="31"/>
        <v>-113.61000000000001</v>
      </c>
      <c r="H96" s="40">
        <f>F96/E96*100</f>
        <v>87.43946932006634</v>
      </c>
      <c r="I96" s="56">
        <f t="shared" si="32"/>
        <v>-409.11</v>
      </c>
      <c r="J96" s="56">
        <f>F96/D96*100</f>
        <v>65.9075</v>
      </c>
      <c r="K96" s="56">
        <f>F96-795.5</f>
        <v>-4.610000000000014</v>
      </c>
      <c r="L96" s="135">
        <f>F96/795.5</f>
        <v>0.9942049025769956</v>
      </c>
      <c r="M96" s="40">
        <f>E96-вересень!E96</f>
        <v>110</v>
      </c>
      <c r="N96" s="40">
        <f>F96-вересень!F96</f>
        <v>8.509999999999991</v>
      </c>
      <c r="O96" s="53">
        <f t="shared" si="33"/>
        <v>-101.49000000000001</v>
      </c>
      <c r="P96" s="56">
        <f>N96/M96*100</f>
        <v>7.736363636363628</v>
      </c>
      <c r="Q96" s="56">
        <f>N96-102.1</f>
        <v>-93.59</v>
      </c>
      <c r="R96" s="135">
        <f>N96/102.1</f>
        <v>0.0833496571988246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3160.18</v>
      </c>
      <c r="G99" s="49">
        <f t="shared" si="31"/>
        <v>-176.82000000000016</v>
      </c>
      <c r="H99" s="40">
        <f>F99/E99*100</f>
        <v>94.70122864848666</v>
      </c>
      <c r="I99" s="56">
        <f t="shared" si="32"/>
        <v>-1412.52</v>
      </c>
      <c r="J99" s="56">
        <f>F99/D99*100</f>
        <v>69.10971636013734</v>
      </c>
      <c r="K99" s="56">
        <f>F99-3411.3</f>
        <v>-251.12000000000035</v>
      </c>
      <c r="L99" s="135">
        <f>F99/3411.3</f>
        <v>0.926385835312051</v>
      </c>
      <c r="M99" s="40">
        <f>E99-вересень!E99</f>
        <v>330</v>
      </c>
      <c r="N99" s="40">
        <f>F99-вересень!F99</f>
        <v>66.34699999999975</v>
      </c>
      <c r="O99" s="53">
        <f t="shared" si="33"/>
        <v>-263.65300000000025</v>
      </c>
      <c r="P99" s="56">
        <f>N99/M99*100</f>
        <v>20.10515151515144</v>
      </c>
      <c r="Q99" s="56">
        <f>N99-432.2</f>
        <v>-365.85300000000024</v>
      </c>
      <c r="R99" s="135">
        <f>N99/432.2</f>
        <v>0.1535099490976394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778.6</v>
      </c>
      <c r="G102" s="144"/>
      <c r="H102" s="146"/>
      <c r="I102" s="145"/>
      <c r="J102" s="145"/>
      <c r="K102" s="148">
        <f>F102-545.2</f>
        <v>233.39999999999998</v>
      </c>
      <c r="L102" s="149">
        <f>F102/545.2</f>
        <v>1.4280997798972854</v>
      </c>
      <c r="M102" s="40">
        <f>E102-вересень!E102</f>
        <v>0</v>
      </c>
      <c r="N102" s="40">
        <f>F102-вересень!F102</f>
        <v>21.399999999999977</v>
      </c>
      <c r="O102" s="53"/>
      <c r="P102" s="60"/>
      <c r="Q102" s="60">
        <f>N102-124.1</f>
        <v>-102.70000000000002</v>
      </c>
      <c r="R102" s="138">
        <f>N102/124.1</f>
        <v>0.17244157937147445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19.9</v>
      </c>
      <c r="G105" s="49">
        <f>F105-E105</f>
        <v>-7.300000000000001</v>
      </c>
      <c r="H105" s="40">
        <f>F105/E105*100</f>
        <v>73.16176470588235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E105-вересень!E105</f>
        <v>3</v>
      </c>
      <c r="N105" s="40">
        <f>F105-вересень!F105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363000.39</v>
      </c>
      <c r="G107" s="181">
        <f>F107-E107</f>
        <v>-41726.949999999895</v>
      </c>
      <c r="H107" s="51">
        <f>F107/E107*100</f>
        <v>89.69010840730456</v>
      </c>
      <c r="I107" s="36">
        <f t="shared" si="34"/>
        <v>-143879.20999999996</v>
      </c>
      <c r="J107" s="36">
        <f t="shared" si="36"/>
        <v>71.6147167887601</v>
      </c>
      <c r="K107" s="36">
        <f>F107-358888.5</f>
        <v>4111.890000000014</v>
      </c>
      <c r="L107" s="136">
        <f>F107/358888.5</f>
        <v>1.0114572910527921</v>
      </c>
      <c r="M107" s="22">
        <f>M8+M74+M105+M106</f>
        <v>41164.299999999974</v>
      </c>
      <c r="N107" s="22">
        <f>N8+N74+N105+N106</f>
        <v>4930.637000000005</v>
      </c>
      <c r="O107" s="55">
        <f t="shared" si="35"/>
        <v>-36233.66299999997</v>
      </c>
      <c r="P107" s="36">
        <f>N107/M107*100</f>
        <v>11.977944481018767</v>
      </c>
      <c r="Q107" s="36">
        <f>N107-39133.2</f>
        <v>-34202.562999999995</v>
      </c>
      <c r="R107" s="136">
        <f>N107/39133.2</f>
        <v>0.12599626404178563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287267.01</v>
      </c>
      <c r="G108" s="153">
        <f>G10-G18+G96</f>
        <v>-33343.58999999998</v>
      </c>
      <c r="H108" s="72">
        <f>F108/E108*100</f>
        <v>89.59997267713545</v>
      </c>
      <c r="I108" s="52">
        <f t="shared" si="34"/>
        <v>-100946.19</v>
      </c>
      <c r="J108" s="52">
        <f t="shared" si="36"/>
        <v>73.99722884229594</v>
      </c>
      <c r="K108" s="52">
        <f>F108-273558.9</f>
        <v>13708.109999999986</v>
      </c>
      <c r="L108" s="137">
        <f>F108/273558.9</f>
        <v>1.0501102687574777</v>
      </c>
      <c r="M108" s="71">
        <f>M10-M18+M96</f>
        <v>32356.599999999977</v>
      </c>
      <c r="N108" s="71">
        <f>N10-N18+N96</f>
        <v>3870.9500000000025</v>
      </c>
      <c r="O108" s="53">
        <f t="shared" si="35"/>
        <v>-28485.649999999972</v>
      </c>
      <c r="P108" s="52">
        <f>N108/M108*100</f>
        <v>11.963401593492534</v>
      </c>
      <c r="Q108" s="52">
        <f>N108-30069.2</f>
        <v>-26198.25</v>
      </c>
      <c r="R108" s="137">
        <f>N108/30069.2</f>
        <v>0.12873471858246985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75733.38</v>
      </c>
      <c r="G109" s="182">
        <f>F109-E109</f>
        <v>-8383.359999999928</v>
      </c>
      <c r="H109" s="72">
        <f>F109/E109*100</f>
        <v>90.03366036296707</v>
      </c>
      <c r="I109" s="52">
        <f t="shared" si="34"/>
        <v>-42933.01999999996</v>
      </c>
      <c r="J109" s="52">
        <f t="shared" si="36"/>
        <v>63.820407461589824</v>
      </c>
      <c r="K109" s="52">
        <f>F109-85329.7</f>
        <v>-9596.319999999992</v>
      </c>
      <c r="L109" s="137">
        <f>F109/85329.7</f>
        <v>0.8875383365932379</v>
      </c>
      <c r="M109" s="71">
        <f>M107-M108</f>
        <v>8807.699999999997</v>
      </c>
      <c r="N109" s="71">
        <f>N107-N108</f>
        <v>1059.6870000000026</v>
      </c>
      <c r="O109" s="53">
        <f t="shared" si="35"/>
        <v>-7748.0129999999945</v>
      </c>
      <c r="P109" s="52">
        <f>N109/M109*100</f>
        <v>12.031370278279267</v>
      </c>
      <c r="Q109" s="52">
        <f>N109-9064</f>
        <v>-8004.312999999997</v>
      </c>
      <c r="R109" s="137">
        <f>N109/9064</f>
        <v>0.11691162842012386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287267.01</v>
      </c>
      <c r="G110" s="111">
        <f>F110-E110</f>
        <v>-27973.690000000002</v>
      </c>
      <c r="H110" s="72">
        <f>F110/E110*100</f>
        <v>91.12624416834501</v>
      </c>
      <c r="I110" s="81">
        <f t="shared" si="34"/>
        <v>-100946.19</v>
      </c>
      <c r="J110" s="52">
        <f t="shared" si="36"/>
        <v>73.99722884229594</v>
      </c>
      <c r="K110" s="52"/>
      <c r="L110" s="137"/>
      <c r="M110" s="72">
        <f>E110-вересень!E110</f>
        <v>32356.600000000035</v>
      </c>
      <c r="N110" s="71">
        <f>N108</f>
        <v>3870.9500000000025</v>
      </c>
      <c r="O110" s="63">
        <f t="shared" si="35"/>
        <v>-28485.65000000003</v>
      </c>
      <c r="P110" s="52">
        <f>N110/M110*100</f>
        <v>11.963401593492513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1152.4</v>
      </c>
      <c r="G115" s="49">
        <f t="shared" si="37"/>
        <v>-1854.6</v>
      </c>
      <c r="H115" s="40">
        <f aca="true" t="shared" si="39" ref="H115:H126">F115/E115*100</f>
        <v>38.32391087462588</v>
      </c>
      <c r="I115" s="60">
        <f t="shared" si="38"/>
        <v>-2519.1</v>
      </c>
      <c r="J115" s="60">
        <f aca="true" t="shared" si="40" ref="J115:J121">F115/D115*100</f>
        <v>31.387716192291983</v>
      </c>
      <c r="K115" s="60">
        <f>F115-3077.6</f>
        <v>-1925.1999999999998</v>
      </c>
      <c r="L115" s="138">
        <f>F115/3077.6</f>
        <v>0.37444762152326494</v>
      </c>
      <c r="M115" s="40">
        <f>E115-вересень!E115</f>
        <v>327.4000000000001</v>
      </c>
      <c r="N115" s="40">
        <f>F115-вересень!F115</f>
        <v>29.470000000000027</v>
      </c>
      <c r="O115" s="53">
        <f aca="true" t="shared" si="41" ref="O115:O126">N115-M115</f>
        <v>-297.93000000000006</v>
      </c>
      <c r="P115" s="60">
        <f>N115/M115*100</f>
        <v>9.001221747098356</v>
      </c>
      <c r="Q115" s="60">
        <f>N115-150.5</f>
        <v>-121.02999999999997</v>
      </c>
      <c r="R115" s="138">
        <f>N115/150.5</f>
        <v>0.19581395348837227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245.93</v>
      </c>
      <c r="G116" s="49">
        <f t="shared" si="37"/>
        <v>23.430000000000007</v>
      </c>
      <c r="H116" s="40">
        <f t="shared" si="39"/>
        <v>110.5303370786517</v>
      </c>
      <c r="I116" s="60">
        <f t="shared" si="38"/>
        <v>-22.170000000000016</v>
      </c>
      <c r="J116" s="60">
        <f t="shared" si="40"/>
        <v>91.73069750093248</v>
      </c>
      <c r="K116" s="60">
        <f>F116-200.1</f>
        <v>45.83000000000001</v>
      </c>
      <c r="L116" s="138">
        <f>F116/200.1</f>
        <v>1.2290354822588707</v>
      </c>
      <c r="M116" s="40">
        <f>E116-вересень!E116</f>
        <v>22</v>
      </c>
      <c r="N116" s="40">
        <f>F116-вересень!F116</f>
        <v>8.77000000000001</v>
      </c>
      <c r="O116" s="53">
        <f t="shared" si="41"/>
        <v>-13.22999999999999</v>
      </c>
      <c r="P116" s="60">
        <f>N116/M116*100</f>
        <v>39.86363636363641</v>
      </c>
      <c r="Q116" s="60">
        <f>N116-24.4</f>
        <v>-15.629999999999988</v>
      </c>
      <c r="R116" s="138">
        <f>N116/24.4</f>
        <v>0.35942622950819714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1398.2900000000002</v>
      </c>
      <c r="G117" s="62">
        <f t="shared" si="37"/>
        <v>-1831.2099999999998</v>
      </c>
      <c r="H117" s="72">
        <f t="shared" si="39"/>
        <v>43.2974144604428</v>
      </c>
      <c r="I117" s="61">
        <f t="shared" si="38"/>
        <v>-2541.3099999999995</v>
      </c>
      <c r="J117" s="61">
        <f t="shared" si="40"/>
        <v>35.49319727891157</v>
      </c>
      <c r="K117" s="61">
        <f>F117-3299.2</f>
        <v>-1900.9099999999996</v>
      </c>
      <c r="L117" s="139">
        <f>F117/3299.2</f>
        <v>0.42382698836081484</v>
      </c>
      <c r="M117" s="62">
        <f>M115+M116+M114</f>
        <v>349.4000000000001</v>
      </c>
      <c r="N117" s="38">
        <f>SUM(N114:N116)</f>
        <v>38.34000000000004</v>
      </c>
      <c r="O117" s="61">
        <f t="shared" si="41"/>
        <v>-311.06000000000006</v>
      </c>
      <c r="P117" s="61">
        <f>N117/M117*100</f>
        <v>10.973096737263889</v>
      </c>
      <c r="Q117" s="61">
        <f>N117-175.8</f>
        <v>-137.45999999999998</v>
      </c>
      <c r="R117" s="139">
        <f>N117/175.8</f>
        <v>0.2180887372013654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316.03</v>
      </c>
      <c r="G119" s="49">
        <f t="shared" si="37"/>
        <v>55.52999999999997</v>
      </c>
      <c r="H119" s="40">
        <f t="shared" si="39"/>
        <v>121.31669865642993</v>
      </c>
      <c r="I119" s="60">
        <f t="shared" si="38"/>
        <v>48.829999999999984</v>
      </c>
      <c r="J119" s="60">
        <f t="shared" si="40"/>
        <v>118.27470059880238</v>
      </c>
      <c r="K119" s="60">
        <f>F119-174.4</f>
        <v>141.62999999999997</v>
      </c>
      <c r="L119" s="138">
        <f>F119/174.4</f>
        <v>1.8120986238532109</v>
      </c>
      <c r="M119" s="40">
        <f>E119-вересень!E119</f>
        <v>73</v>
      </c>
      <c r="N119" s="40">
        <f>F119-вересень!F119</f>
        <v>1.8799999999999955</v>
      </c>
      <c r="O119" s="53">
        <f>N119-M119</f>
        <v>-71.12</v>
      </c>
      <c r="P119" s="60">
        <f>N119/M119*100</f>
        <v>2.5753424657534185</v>
      </c>
      <c r="Q119" s="60">
        <f>N119-1.4</f>
        <v>0.47999999999999554</v>
      </c>
      <c r="R119" s="138">
        <f>N119/1.4</f>
        <v>1.3428571428571396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60606.13</v>
      </c>
      <c r="G120" s="49">
        <f t="shared" si="37"/>
        <v>593.5299999999988</v>
      </c>
      <c r="H120" s="40">
        <f t="shared" si="39"/>
        <v>100.98900897478195</v>
      </c>
      <c r="I120" s="53">
        <f t="shared" si="38"/>
        <v>-11369.860000000008</v>
      </c>
      <c r="J120" s="60">
        <f t="shared" si="40"/>
        <v>84.20326000378736</v>
      </c>
      <c r="K120" s="60">
        <f>F120-50659.1</f>
        <v>9947.029999999999</v>
      </c>
      <c r="L120" s="138">
        <f>F120/50659.1</f>
        <v>1.19635228418981</v>
      </c>
      <c r="M120" s="40">
        <f>E120-вересень!E120</f>
        <v>7500</v>
      </c>
      <c r="N120" s="40">
        <f>F120-вересень!F120</f>
        <v>1069.6699999999983</v>
      </c>
      <c r="O120" s="53">
        <f t="shared" si="41"/>
        <v>-6430.330000000002</v>
      </c>
      <c r="P120" s="60">
        <f aca="true" t="shared" si="42" ref="P120:P125">N120/M120*100</f>
        <v>14.262266666666642</v>
      </c>
      <c r="Q120" s="60">
        <f>N120-3034.9</f>
        <v>-1965.2300000000018</v>
      </c>
      <c r="R120" s="138">
        <f>N120/3034.9</f>
        <v>0.35245642360539003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1754.75</v>
      </c>
      <c r="G121" s="49">
        <f t="shared" si="37"/>
        <v>-1444.65</v>
      </c>
      <c r="H121" s="40">
        <f t="shared" si="39"/>
        <v>54.84622116646871</v>
      </c>
      <c r="I121" s="60">
        <f t="shared" si="38"/>
        <v>-2995.25</v>
      </c>
      <c r="J121" s="60">
        <f t="shared" si="40"/>
        <v>36.94210526315789</v>
      </c>
      <c r="K121" s="60">
        <f>F121-1289.6</f>
        <v>465.1500000000001</v>
      </c>
      <c r="L121" s="138">
        <f>F121/1289.6</f>
        <v>1.3606932382133996</v>
      </c>
      <c r="M121" s="40">
        <f>E121-вересень!E121</f>
        <v>1476.4</v>
      </c>
      <c r="N121" s="40">
        <f>F121-вересень!F121</f>
        <v>0.01999999999998181</v>
      </c>
      <c r="O121" s="53">
        <f t="shared" si="41"/>
        <v>-1476.38</v>
      </c>
      <c r="P121" s="60">
        <f t="shared" si="42"/>
        <v>0.0013546464372786377</v>
      </c>
      <c r="Q121" s="60">
        <f>N121-167.3</f>
        <v>-167.28000000000003</v>
      </c>
      <c r="R121" s="138">
        <f>N121/167.3</f>
        <v>0.00011954572624017818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2643.85</v>
      </c>
      <c r="G122" s="49">
        <f t="shared" si="37"/>
        <v>-14932.38</v>
      </c>
      <c r="H122" s="40">
        <f t="shared" si="39"/>
        <v>15.042190503879388</v>
      </c>
      <c r="I122" s="60">
        <f t="shared" si="38"/>
        <v>-20433.280000000002</v>
      </c>
      <c r="J122" s="60">
        <f>F122/D122*100</f>
        <v>11.4565806059939</v>
      </c>
      <c r="K122" s="60">
        <f>F122-22303.9</f>
        <v>-19660.050000000003</v>
      </c>
      <c r="L122" s="138">
        <f>F122/22303.9</f>
        <v>0.1185375651791839</v>
      </c>
      <c r="M122" s="40">
        <f>E122-вересень!E122</f>
        <v>4648.800000000001</v>
      </c>
      <c r="N122" s="40">
        <f>F122-вересень!F122</f>
        <v>250.61000000000013</v>
      </c>
      <c r="O122" s="53">
        <f t="shared" si="41"/>
        <v>-4398.1900000000005</v>
      </c>
      <c r="P122" s="60">
        <f t="shared" si="42"/>
        <v>5.390853553605233</v>
      </c>
      <c r="Q122" s="60">
        <f>N122-7566.7</f>
        <v>-7316.09</v>
      </c>
      <c r="R122" s="138">
        <f>N122/7566.7</f>
        <v>0.03312011841357529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1075.31</v>
      </c>
      <c r="G123" s="49">
        <f t="shared" si="37"/>
        <v>-545.5</v>
      </c>
      <c r="H123" s="40">
        <f t="shared" si="39"/>
        <v>66.34398849957736</v>
      </c>
      <c r="I123" s="60">
        <f t="shared" si="38"/>
        <v>-924.69</v>
      </c>
      <c r="J123" s="60">
        <f>F123/D123*100</f>
        <v>53.7655</v>
      </c>
      <c r="K123" s="60">
        <f>F123-1660.3</f>
        <v>-584.99</v>
      </c>
      <c r="L123" s="138">
        <f>F123/1660.3</f>
        <v>0.6476600614346805</v>
      </c>
      <c r="M123" s="40">
        <f>E123-вересень!E123</f>
        <v>189.58999999999992</v>
      </c>
      <c r="N123" s="40">
        <f>F123-вересень!F123</f>
        <v>0.3999999999998636</v>
      </c>
      <c r="O123" s="53">
        <f t="shared" si="41"/>
        <v>-189.19000000000005</v>
      </c>
      <c r="P123" s="60">
        <f t="shared" si="42"/>
        <v>0.21098159185603868</v>
      </c>
      <c r="Q123" s="60">
        <f>N123-20.2</f>
        <v>-19.800000000000136</v>
      </c>
      <c r="R123" s="138">
        <f>N123/20.2</f>
        <v>0.01980198019801305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66396.06999999999</v>
      </c>
      <c r="G124" s="62">
        <f t="shared" si="37"/>
        <v>-16273.470000000001</v>
      </c>
      <c r="H124" s="72">
        <f t="shared" si="39"/>
        <v>80.31503501773446</v>
      </c>
      <c r="I124" s="61">
        <f t="shared" si="38"/>
        <v>-35674.250000000015</v>
      </c>
      <c r="J124" s="61">
        <f>F124/D124*100</f>
        <v>65.04934049388694</v>
      </c>
      <c r="K124" s="61">
        <f>F124-76087.4</f>
        <v>-9691.330000000002</v>
      </c>
      <c r="L124" s="139">
        <f>F124/76087.4</f>
        <v>0.8726289766768216</v>
      </c>
      <c r="M124" s="62">
        <f>M120+M121+M122+M123+M119</f>
        <v>13887.79</v>
      </c>
      <c r="N124" s="62">
        <f>N120+N121+N122+N123+N119</f>
        <v>1322.579999999998</v>
      </c>
      <c r="O124" s="61">
        <f t="shared" si="41"/>
        <v>-12565.210000000003</v>
      </c>
      <c r="P124" s="61">
        <f t="shared" si="42"/>
        <v>9.523329485828905</v>
      </c>
      <c r="Q124" s="61">
        <f>N124-10790.5</f>
        <v>-9467.920000000002</v>
      </c>
      <c r="R124" s="139">
        <f>N124/10790.5</f>
        <v>0.12256892637041825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24.17</v>
      </c>
      <c r="G125" s="49">
        <f t="shared" si="37"/>
        <v>-6.989999999999998</v>
      </c>
      <c r="H125" s="40">
        <f t="shared" si="39"/>
        <v>77.56739409499359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E125-вересень!E125</f>
        <v>4</v>
      </c>
      <c r="N125" s="40">
        <f>F125-вересень!F125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7369.38</v>
      </c>
      <c r="G128" s="49">
        <f aca="true" t="shared" si="43" ref="G128:G135">F128-E128</f>
        <v>648.8800000000001</v>
      </c>
      <c r="H128" s="40">
        <f>F128/E128*100</f>
        <v>109.65523398556655</v>
      </c>
      <c r="I128" s="60">
        <f aca="true" t="shared" si="44" ref="I128:I135">F128-D128</f>
        <v>-1330.62</v>
      </c>
      <c r="J128" s="60">
        <f>F128/D128*100</f>
        <v>84.70551724137931</v>
      </c>
      <c r="K128" s="60">
        <f>F128-8715.2</f>
        <v>-1345.8200000000006</v>
      </c>
      <c r="L128" s="138">
        <f>F128/8715.2</f>
        <v>0.8455778410134018</v>
      </c>
      <c r="M128" s="40">
        <f>E128-вересень!E128</f>
        <v>2</v>
      </c>
      <c r="N128" s="40">
        <f>F128-вересень!F128</f>
        <v>0.5</v>
      </c>
      <c r="O128" s="53">
        <f aca="true" t="shared" si="45" ref="O128:O135">N128-M128</f>
        <v>-1.5</v>
      </c>
      <c r="P128" s="60">
        <f>N128/M128*100</f>
        <v>25</v>
      </c>
      <c r="Q128" s="60">
        <f>N128-35</f>
        <v>-34.5</v>
      </c>
      <c r="R128" s="162">
        <f>N128/35</f>
        <v>0.014285714285714285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E129-вересень!E129</f>
        <v>0</v>
      </c>
      <c r="N129" s="40">
        <f>F129-вересень!F129</f>
        <v>0</v>
      </c>
      <c r="O129" s="53">
        <f t="shared" si="45"/>
        <v>0</v>
      </c>
      <c r="P129" s="60"/>
      <c r="Q129" s="60">
        <f>N129-0.7</f>
        <v>-0.7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7414.11</v>
      </c>
      <c r="G130" s="62">
        <f t="shared" si="43"/>
        <v>655.25</v>
      </c>
      <c r="H130" s="72">
        <f>F130/E130*100</f>
        <v>109.69468223931256</v>
      </c>
      <c r="I130" s="61">
        <f t="shared" si="44"/>
        <v>-1336.590000000001</v>
      </c>
      <c r="J130" s="61">
        <f>F130/D130*100</f>
        <v>84.72590764167437</v>
      </c>
      <c r="K130" s="61">
        <f>F130-8836.4</f>
        <v>-1422.29</v>
      </c>
      <c r="L130" s="139">
        <f>G130/8836.4</f>
        <v>0.07415350142592006</v>
      </c>
      <c r="M130" s="62">
        <f>M125+M128+M129+M127</f>
        <v>6</v>
      </c>
      <c r="N130" s="62">
        <f>N125+N128+N129+N127</f>
        <v>0.5</v>
      </c>
      <c r="O130" s="61">
        <f t="shared" si="45"/>
        <v>-5.5</v>
      </c>
      <c r="P130" s="61">
        <f>N130/M130*100</f>
        <v>8.333333333333332</v>
      </c>
      <c r="Q130" s="61">
        <f>N130-35.8</f>
        <v>-35.3</v>
      </c>
      <c r="R130" s="137">
        <f>N130/35.8</f>
        <v>0.013966480446927375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31.86</v>
      </c>
      <c r="G131" s="49">
        <f>F131-E131</f>
        <v>8.009999999999998</v>
      </c>
      <c r="H131" s="40">
        <f>F131/E131*100</f>
        <v>133.58490566037736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E131-вересень!E131</f>
        <v>0.40000000000000213</v>
      </c>
      <c r="N131" s="40">
        <f>F131-вересень!F131</f>
        <v>0</v>
      </c>
      <c r="O131" s="53">
        <f>N131-M131</f>
        <v>-0.40000000000000213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75240.32999999999</v>
      </c>
      <c r="G134" s="50">
        <f t="shared" si="43"/>
        <v>-17441.420000000013</v>
      </c>
      <c r="H134" s="51">
        <f>F134/E134*100</f>
        <v>81.18138684260924</v>
      </c>
      <c r="I134" s="36">
        <f t="shared" si="44"/>
        <v>-39550.29000000002</v>
      </c>
      <c r="J134" s="36">
        <f>F134/D134*100</f>
        <v>65.54571270718807</v>
      </c>
      <c r="K134" s="36">
        <f>F134-88248.3</f>
        <v>-13007.970000000016</v>
      </c>
      <c r="L134" s="136">
        <f>F134/88248.3</f>
        <v>0.8525980670449174</v>
      </c>
      <c r="M134" s="31">
        <f>M117+M131+M124+M130+M133+M132</f>
        <v>14243.59</v>
      </c>
      <c r="N134" s="31">
        <f>N117+N131+N124+N130+N133+N132</f>
        <v>1361.4199999999983</v>
      </c>
      <c r="O134" s="36">
        <f t="shared" si="45"/>
        <v>-12882.170000000002</v>
      </c>
      <c r="P134" s="36">
        <f>N134/M134*100</f>
        <v>9.558124040357791</v>
      </c>
      <c r="Q134" s="36">
        <f>N134-11009.7</f>
        <v>-9648.280000000002</v>
      </c>
      <c r="R134" s="136">
        <f>N134/11009.7</f>
        <v>0.12365641207299001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438240.72</v>
      </c>
      <c r="G135" s="50">
        <f t="shared" si="43"/>
        <v>-59168.36999999994</v>
      </c>
      <c r="H135" s="51">
        <f>F135/E135*100</f>
        <v>88.10468662725887</v>
      </c>
      <c r="I135" s="36">
        <f t="shared" si="44"/>
        <v>-183429.5</v>
      </c>
      <c r="J135" s="36">
        <f>F135/D135*100</f>
        <v>70.49408285955856</v>
      </c>
      <c r="K135" s="36">
        <f>F135-447136.8</f>
        <v>-8896.080000000016</v>
      </c>
      <c r="L135" s="136">
        <f>F135/447136.8</f>
        <v>0.9801043439054893</v>
      </c>
      <c r="M135" s="22">
        <f>M107+M134</f>
        <v>55407.88999999997</v>
      </c>
      <c r="N135" s="22">
        <f>N107+N134</f>
        <v>6292.057000000003</v>
      </c>
      <c r="O135" s="36">
        <f t="shared" si="45"/>
        <v>-49115.83299999997</v>
      </c>
      <c r="P135" s="36">
        <f>N135/M135*100</f>
        <v>11.355886318717436</v>
      </c>
      <c r="Q135" s="36">
        <f>N135-50142.9</f>
        <v>-43850.843</v>
      </c>
      <c r="R135" s="136">
        <f>N135/50142.9</f>
        <v>0.1254825109836089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19</v>
      </c>
      <c r="D137" s="4" t="s">
        <v>118</v>
      </c>
    </row>
    <row r="138" spans="2:17" ht="31.5">
      <c r="B138" s="78" t="s">
        <v>154</v>
      </c>
      <c r="C138" s="39">
        <f>IF(O107&lt;0,ABS(O107/C137),0)</f>
        <v>1907.0348947368407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41918</v>
      </c>
      <c r="D139" s="39">
        <v>1951.1</v>
      </c>
      <c r="N139" s="194"/>
      <c r="O139" s="194"/>
    </row>
    <row r="140" spans="3:15" ht="15.75">
      <c r="C140" s="120">
        <v>41915</v>
      </c>
      <c r="D140" s="39">
        <v>1889.3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41914</v>
      </c>
      <c r="D141" s="39">
        <v>498.2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121105.87190000001</v>
      </c>
      <c r="E143" s="80"/>
      <c r="F143" s="100" t="s">
        <v>147</v>
      </c>
      <c r="G143" s="190" t="s">
        <v>149</v>
      </c>
      <c r="H143" s="190"/>
      <c r="I143" s="116">
        <v>112085.27537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17423.205409999995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228" t="s">
        <v>192</v>
      </c>
      <c r="E3" s="46"/>
      <c r="F3" s="229" t="s">
        <v>107</v>
      </c>
      <c r="G3" s="230"/>
      <c r="H3" s="230"/>
      <c r="I3" s="230"/>
      <c r="J3" s="231"/>
      <c r="K3" s="123"/>
      <c r="L3" s="123"/>
      <c r="M3" s="208" t="s">
        <v>200</v>
      </c>
      <c r="N3" s="223" t="s">
        <v>178</v>
      </c>
      <c r="O3" s="223"/>
      <c r="P3" s="223"/>
      <c r="Q3" s="223"/>
      <c r="R3" s="223"/>
    </row>
    <row r="4" spans="1:18" ht="22.5" customHeight="1">
      <c r="A4" s="175"/>
      <c r="B4" s="177"/>
      <c r="C4" s="178"/>
      <c r="D4" s="228"/>
      <c r="E4" s="233" t="s">
        <v>153</v>
      </c>
      <c r="F4" s="224" t="s">
        <v>116</v>
      </c>
      <c r="G4" s="226" t="s">
        <v>175</v>
      </c>
      <c r="H4" s="206" t="s">
        <v>176</v>
      </c>
      <c r="I4" s="221" t="s">
        <v>188</v>
      </c>
      <c r="J4" s="219" t="s">
        <v>189</v>
      </c>
      <c r="K4" s="125" t="s">
        <v>174</v>
      </c>
      <c r="L4" s="130" t="s">
        <v>173</v>
      </c>
      <c r="M4" s="235"/>
      <c r="N4" s="200" t="s">
        <v>186</v>
      </c>
      <c r="O4" s="221" t="s">
        <v>136</v>
      </c>
      <c r="P4" s="223" t="s">
        <v>135</v>
      </c>
      <c r="Q4" s="131" t="s">
        <v>174</v>
      </c>
      <c r="R4" s="132" t="s">
        <v>173</v>
      </c>
    </row>
    <row r="5" spans="1:18" ht="82.5" customHeight="1">
      <c r="A5" s="176"/>
      <c r="B5" s="177"/>
      <c r="C5" s="178"/>
      <c r="D5" s="228"/>
      <c r="E5" s="234"/>
      <c r="F5" s="225"/>
      <c r="G5" s="227"/>
      <c r="H5" s="207"/>
      <c r="I5" s="222"/>
      <c r="J5" s="220"/>
      <c r="K5" s="197" t="s">
        <v>177</v>
      </c>
      <c r="L5" s="198"/>
      <c r="M5" s="209"/>
      <c r="N5" s="201"/>
      <c r="O5" s="222"/>
      <c r="P5" s="223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272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5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268</v>
      </c>
      <c r="F5" s="218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83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E102-серпень!E102</f>
        <v>0</v>
      </c>
      <c r="N102" s="40">
        <f>F102-серпень!F102</f>
        <v>121.40000000000009</v>
      </c>
      <c r="O102" s="53"/>
      <c r="P102" s="60"/>
      <c r="Q102" s="60">
        <f>N102-124.1</f>
        <v>-2.6999999999999034</v>
      </c>
      <c r="R102" s="138">
        <f>N102/124.1</f>
        <v>0.9782433521353755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81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82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261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5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258</v>
      </c>
      <c r="F5" s="218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252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5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248</v>
      </c>
      <c r="F5" s="218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243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5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237</v>
      </c>
      <c r="F5" s="218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233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5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228</v>
      </c>
      <c r="F5" s="218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221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5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216</v>
      </c>
      <c r="F5" s="218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22196.79284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208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210</v>
      </c>
      <c r="N3" s="216" t="s">
        <v>198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5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214</v>
      </c>
      <c r="F5" s="218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228" t="s">
        <v>187</v>
      </c>
      <c r="E3" s="46"/>
      <c r="F3" s="229" t="s">
        <v>107</v>
      </c>
      <c r="G3" s="230"/>
      <c r="H3" s="230"/>
      <c r="I3" s="230"/>
      <c r="J3" s="231"/>
      <c r="K3" s="123"/>
      <c r="L3" s="123"/>
      <c r="M3" s="232" t="s">
        <v>190</v>
      </c>
      <c r="N3" s="223" t="s">
        <v>185</v>
      </c>
      <c r="O3" s="223"/>
      <c r="P3" s="223"/>
      <c r="Q3" s="223"/>
      <c r="R3" s="223"/>
    </row>
    <row r="4" spans="1:18" ht="22.5" customHeight="1">
      <c r="A4" s="175"/>
      <c r="B4" s="177"/>
      <c r="C4" s="178"/>
      <c r="D4" s="228"/>
      <c r="E4" s="233" t="s">
        <v>191</v>
      </c>
      <c r="F4" s="224" t="s">
        <v>116</v>
      </c>
      <c r="G4" s="226" t="s">
        <v>167</v>
      </c>
      <c r="H4" s="206" t="s">
        <v>168</v>
      </c>
      <c r="I4" s="221" t="s">
        <v>188</v>
      </c>
      <c r="J4" s="219" t="s">
        <v>189</v>
      </c>
      <c r="K4" s="125" t="s">
        <v>174</v>
      </c>
      <c r="L4" s="130" t="s">
        <v>173</v>
      </c>
      <c r="M4" s="232"/>
      <c r="N4" s="200" t="s">
        <v>194</v>
      </c>
      <c r="O4" s="221" t="s">
        <v>136</v>
      </c>
      <c r="P4" s="223" t="s">
        <v>135</v>
      </c>
      <c r="Q4" s="131" t="s">
        <v>174</v>
      </c>
      <c r="R4" s="132" t="s">
        <v>173</v>
      </c>
    </row>
    <row r="5" spans="1:18" ht="82.5" customHeight="1">
      <c r="A5" s="176"/>
      <c r="B5" s="177"/>
      <c r="C5" s="178"/>
      <c r="D5" s="228"/>
      <c r="E5" s="234"/>
      <c r="F5" s="225"/>
      <c r="G5" s="227"/>
      <c r="H5" s="207"/>
      <c r="I5" s="222"/>
      <c r="J5" s="220"/>
      <c r="K5" s="197" t="s">
        <v>184</v>
      </c>
      <c r="L5" s="198"/>
      <c r="M5" s="232"/>
      <c r="N5" s="201"/>
      <c r="O5" s="222"/>
      <c r="P5" s="223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2014-10-07T11:21:58Z</cp:lastPrinted>
  <dcterms:created xsi:type="dcterms:W3CDTF">2003-07-28T11:27:56Z</dcterms:created>
  <dcterms:modified xsi:type="dcterms:W3CDTF">2014-10-07T11:30:15Z</dcterms:modified>
  <cp:category/>
  <cp:version/>
  <cp:contentType/>
  <cp:contentStatus/>
</cp:coreProperties>
</file>